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500" windowHeight="8835" activeTab="0"/>
  </bookViews>
  <sheets>
    <sheet name="Sheet1" sheetId="1" r:id="rId1"/>
    <sheet name="Sheet2" sheetId="2" r:id="rId2"/>
    <sheet name="Sheet3" sheetId="3" r:id="rId3"/>
  </sheets>
  <definedNames>
    <definedName name="a_hyper">'Sheet1'!$D$63</definedName>
    <definedName name="adj_feed_fD">'Sheet1'!$E$29</definedName>
    <definedName name="alpha">'Sheet1'!$G$36</definedName>
    <definedName name="alpha_min">'Sheet1'!$G$37</definedName>
    <definedName name="alpha_NB">'Sheet1'!$G$43</definedName>
    <definedName name="b_hyper">'Sheet1'!$D$64</definedName>
    <definedName name="c_hyper">'Sheet1'!$D$65</definedName>
    <definedName name="Cb">'Sheet1'!$B$87</definedName>
    <definedName name="d_feed">'Sheet1'!$B$13</definedName>
    <definedName name="D_lamb">'Sheet1'!$D$10</definedName>
    <definedName name="d_ratio">'Sheet1'!$E$51</definedName>
    <definedName name="dfeed_lam">'Sheet1'!$D$13</definedName>
    <definedName name="Diam">'Sheet1'!$B$10</definedName>
    <definedName name="Dish_fD">'Sheet1'!$E$11</definedName>
    <definedName name="dNB_ratio">'Sheet1'!$E$41</definedName>
    <definedName name="doverD">'Sheet1'!$B$83</definedName>
    <definedName name="ds_min_ratio">'Sheet1'!$B$86</definedName>
    <definedName name="ds_ratio">'Sheet1'!$B$86</definedName>
    <definedName name="dsmin_ratio">'Sheet1'!$E$34</definedName>
    <definedName name="dsub">'Sheet1'!$D$46</definedName>
    <definedName name="dsub_min">'Sheet1'!$D$31</definedName>
    <definedName name="dsub_NB">'Sheet1'!$D$39</definedName>
    <definedName name="E">'Sheet1'!$B$79</definedName>
    <definedName name="eccentricity">'Sheet1'!$E$62</definedName>
    <definedName name="eff">'Sheet1'!$E$52</definedName>
    <definedName name="eff_max">'Sheet1'!$E$35</definedName>
    <definedName name="F">'Sheet1'!$D$17</definedName>
    <definedName name="feed_fD">'Sheet1'!$E$12</definedName>
    <definedName name="FGHz">'Sheet1'!$B$6</definedName>
    <definedName name="FSA">'Sheet1'!$E$22</definedName>
    <definedName name="fsub">'Sheet1'!$D$50</definedName>
    <definedName name="fsub_min">'Sheet1'!$D$32</definedName>
    <definedName name="fsub_NB">'Sheet1'!$D$40</definedName>
    <definedName name="hyper_fD">'Sheet1'!$D$33</definedName>
    <definedName name="lambda">'Sheet1'!$B$16</definedName>
    <definedName name="Mhyper">'Sheet1'!$E$61</definedName>
    <definedName name="PC">'Sheet1'!$D$14</definedName>
    <definedName name="phi">'Sheet1'!$G$18</definedName>
    <definedName name="pi">'Sheet1'!$G$7</definedName>
    <definedName name="psi">'Sheet1'!$G$19</definedName>
    <definedName name="psi_taper">'Sheet1'!$G$28</definedName>
    <definedName name="R_edge">'Sheet1'!$D$20</definedName>
    <definedName name="Space_att">'Sheet1'!$E$21</definedName>
    <definedName name="sub_fD">'Sheet1'!$E$33</definedName>
    <definedName name="sug_taper">'Sheet1'!$E$24</definedName>
    <definedName name="taper">'Sheet1'!$E$25</definedName>
    <definedName name="term1">'Sheet1'!$B$80</definedName>
    <definedName name="term2">'Sheet1'!$B$81</definedName>
    <definedName name="term3">'Sheet1'!$B$82</definedName>
    <definedName name="term4">'Sheet1'!$B$88</definedName>
  </definedNames>
  <calcPr fullCalcOnLoad="1"/>
</workbook>
</file>

<file path=xl/sharedStrings.xml><?xml version="1.0" encoding="utf-8"?>
<sst xmlns="http://schemas.openxmlformats.org/spreadsheetml/2006/main" count="95" uniqueCount="72">
  <si>
    <t>CASSEGRAIN ANTENNA DESIGN CALCULATOR</t>
  </si>
  <si>
    <t>ENTER INPUT PARAMETERS HERE:</t>
  </si>
  <si>
    <t>Frequency</t>
  </si>
  <si>
    <t>GHz</t>
  </si>
  <si>
    <t>mm</t>
  </si>
  <si>
    <t>Inches</t>
  </si>
  <si>
    <t>Wavelengths</t>
  </si>
  <si>
    <t>Dish diameter</t>
  </si>
  <si>
    <r>
      <t xml:space="preserve">Dish </t>
    </r>
    <r>
      <rPr>
        <b/>
        <sz val="12"/>
        <color indexed="12"/>
        <rFont val="Arial"/>
        <family val="2"/>
      </rPr>
      <t>f/D</t>
    </r>
  </si>
  <si>
    <r>
      <t xml:space="preserve">Feedhorn equivalent </t>
    </r>
    <r>
      <rPr>
        <b/>
        <sz val="12"/>
        <color indexed="12"/>
        <rFont val="Arial"/>
        <family val="2"/>
      </rPr>
      <t>f/D</t>
    </r>
  </si>
  <si>
    <t>Feedhorn diameter</t>
  </si>
  <si>
    <t>W1GHZ 2004</t>
  </si>
  <si>
    <t>Suggested illumination taper =</t>
  </si>
  <si>
    <t>dB</t>
  </si>
  <si>
    <t>Decision point:</t>
  </si>
  <si>
    <t>Enter desired illumination taper :</t>
  </si>
  <si>
    <t>Dish Focal Length</t>
  </si>
  <si>
    <t>Dish Illumination halfangle</t>
  </si>
  <si>
    <t>Feedhorn illumination halfangle</t>
  </si>
  <si>
    <t>Feedhorn equivalent f/D</t>
  </si>
  <si>
    <t>Minimum subreflector diameter</t>
  </si>
  <si>
    <t>Subreflector focal length</t>
  </si>
  <si>
    <t>Subreflector f/D</t>
  </si>
  <si>
    <t>Maximum subreflector efficiency ( Diffraction loss = blockage loss)</t>
  </si>
  <si>
    <t>With desired taper:</t>
  </si>
  <si>
    <t>Enter desired subreflector diameter :</t>
  </si>
  <si>
    <t>in wavelengths</t>
  </si>
  <si>
    <t>With desired subreflector diameter:</t>
  </si>
  <si>
    <t>or go back and change feedhorn</t>
  </si>
  <si>
    <t>CASSEGRAIN SUBREFLECTOR GEOMETRY:</t>
  </si>
  <si>
    <t>degrees</t>
  </si>
  <si>
    <t>Subreflector magnification M</t>
  </si>
  <si>
    <t>Hyperbola eccentricity</t>
  </si>
  <si>
    <t>Hyperbola a</t>
  </si>
  <si>
    <t>Hyperbola b</t>
  </si>
  <si>
    <t>Hyperbola c</t>
  </si>
  <si>
    <t>term 1</t>
  </si>
  <si>
    <t>term 2</t>
  </si>
  <si>
    <t>term 3</t>
  </si>
  <si>
    <t>dsub over Dish diameter</t>
  </si>
  <si>
    <t>E (voltage taper)</t>
  </si>
  <si>
    <t>Optimum subreflector size, from Kildal (Diffraction loss = blockage loss)</t>
  </si>
  <si>
    <t>radians</t>
  </si>
  <si>
    <t>Maximum Cassegrain efficiency for optimum d/D, from Kildal</t>
  </si>
  <si>
    <t>Cb</t>
  </si>
  <si>
    <t>term 4</t>
  </si>
  <si>
    <t>maximum efficiency</t>
  </si>
  <si>
    <t>max_eff</t>
  </si>
  <si>
    <t>ds_ratio</t>
  </si>
  <si>
    <t>Subreflector efficiency  (Diffraction plus blockage losses)</t>
  </si>
  <si>
    <t>Optimum illumination taper for Cassegrain, from Kildal</t>
  </si>
  <si>
    <t>from curve fitting</t>
  </si>
  <si>
    <t>Feedhorn blockage halfangle</t>
  </si>
  <si>
    <t>d_sub/D_main</t>
  </si>
  <si>
    <t>Without feedhorn blockage -- increase subreflector diameter to eliminate feedhorn blockage:</t>
  </si>
  <si>
    <t>Cassegrain loss =</t>
  </si>
  <si>
    <t>Feedhorn Phase Center (negative = inside horn)</t>
  </si>
  <si>
    <t>Background calculations:</t>
  </si>
  <si>
    <t>pi =</t>
  </si>
  <si>
    <t>Units:</t>
  </si>
  <si>
    <t>(Bold blue numbers)</t>
  </si>
  <si>
    <t>SUBREFLECTOR POSITION:</t>
  </si>
  <si>
    <t>Apex to Dish focal point</t>
  </si>
  <si>
    <t>Apex to Feed Phase Center</t>
  </si>
  <si>
    <t xml:space="preserve">and multiply by </t>
  </si>
  <si>
    <r>
      <t xml:space="preserve">For overall efficiency, find efficiency on feedhorn PHASEPAT curve for </t>
    </r>
    <r>
      <rPr>
        <b/>
        <i/>
        <sz val="12"/>
        <color indexed="14"/>
        <rFont val="Arial"/>
        <family val="2"/>
      </rPr>
      <t>f</t>
    </r>
    <r>
      <rPr>
        <b/>
        <sz val="12"/>
        <color indexed="14"/>
        <rFont val="Arial"/>
        <family val="2"/>
      </rPr>
      <t>/D=</t>
    </r>
  </si>
  <si>
    <t>Redge (prime focus to rim)</t>
  </si>
  <si>
    <t>Feedhorn Rayleigh distance =</t>
  </si>
  <si>
    <t>Space attenuation for main dish</t>
  </si>
  <si>
    <t>Space attenuation for virtual dish</t>
  </si>
  <si>
    <t xml:space="preserve">Wavelength </t>
  </si>
  <si>
    <t>Subreflector efficiency  (only blockage loss increases)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</si>
</sst>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0.0%"/>
  </numFmts>
  <fonts count="32">
    <font>
      <sz val="10"/>
      <name val="Arial"/>
      <family val="0"/>
    </font>
    <font>
      <b/>
      <u val="single"/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0"/>
    </font>
    <font>
      <b/>
      <i/>
      <sz val="12"/>
      <color indexed="53"/>
      <name val="Arial"/>
      <family val="2"/>
    </font>
    <font>
      <b/>
      <u val="single"/>
      <sz val="14"/>
      <color indexed="5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53"/>
      <name val="Arial"/>
      <family val="2"/>
    </font>
    <font>
      <i/>
      <sz val="14"/>
      <color indexed="10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b/>
      <i/>
      <sz val="14"/>
      <color indexed="12"/>
      <name val="Arial"/>
      <family val="2"/>
    </font>
    <font>
      <b/>
      <sz val="14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i/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85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17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86" fontId="12" fillId="0" borderId="0" xfId="21" applyNumberFormat="1" applyFont="1" applyAlignment="1">
      <alignment horizontal="right"/>
    </xf>
    <xf numFmtId="186" fontId="12" fillId="0" borderId="0" xfId="21" applyNumberFormat="1" applyFont="1" applyAlignment="1">
      <alignment/>
    </xf>
    <xf numFmtId="164" fontId="1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2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workbookViewId="0" topLeftCell="A30">
      <selection activeCell="E53" sqref="E53"/>
    </sheetView>
  </sheetViews>
  <sheetFormatPr defaultColWidth="9.140625" defaultRowHeight="12.75"/>
  <cols>
    <col min="1" max="1" width="37.8515625" style="0" customWidth="1"/>
    <col min="2" max="2" width="14.7109375" style="0" bestFit="1" customWidth="1"/>
    <col min="3" max="3" width="10.57421875" style="0" bestFit="1" customWidth="1"/>
    <col min="4" max="4" width="14.28125" style="0" customWidth="1"/>
    <col min="5" max="5" width="10.00390625" style="0" customWidth="1"/>
    <col min="6" max="6" width="8.28125" style="0" customWidth="1"/>
  </cols>
  <sheetData>
    <row r="2" ht="26.25">
      <c r="A2" s="42" t="s">
        <v>0</v>
      </c>
    </row>
    <row r="3" ht="15">
      <c r="B3" s="43" t="s">
        <v>11</v>
      </c>
    </row>
    <row r="5" spans="1:4" ht="18.75">
      <c r="A5" s="1" t="s">
        <v>1</v>
      </c>
      <c r="B5" s="2"/>
      <c r="C5" s="57" t="s">
        <v>60</v>
      </c>
      <c r="D5" s="2"/>
    </row>
    <row r="6" spans="1:3" ht="18">
      <c r="A6" s="3" t="s">
        <v>2</v>
      </c>
      <c r="B6" s="40">
        <v>10.368</v>
      </c>
      <c r="C6" s="3" t="s">
        <v>3</v>
      </c>
    </row>
    <row r="7" spans="1:7" ht="15.75">
      <c r="A7" s="3"/>
      <c r="B7" s="4"/>
      <c r="C7" s="3"/>
      <c r="D7" s="2"/>
      <c r="F7" s="26" t="s">
        <v>58</v>
      </c>
      <c r="G7">
        <f>PI()</f>
        <v>3.141592653589793</v>
      </c>
    </row>
    <row r="8" spans="1:4" ht="15.75">
      <c r="A8" s="56" t="s">
        <v>59</v>
      </c>
      <c r="B8" s="6" t="s">
        <v>4</v>
      </c>
      <c r="C8" s="7" t="s">
        <v>5</v>
      </c>
      <c r="D8" s="8" t="s">
        <v>6</v>
      </c>
    </row>
    <row r="10" spans="1:5" ht="18">
      <c r="A10" s="3" t="s">
        <v>7</v>
      </c>
      <c r="B10" s="35">
        <v>2438</v>
      </c>
      <c r="C10" s="14">
        <f>Diam/25.4</f>
        <v>95.98425196850394</v>
      </c>
      <c r="D10" s="17">
        <f>Diam/lambda</f>
        <v>84.25728000000001</v>
      </c>
      <c r="E10" s="50">
        <f>IF(D_lamb&lt;20,"WARNING: Dish too small","")</f>
      </c>
    </row>
    <row r="11" spans="1:5" ht="18">
      <c r="A11" s="3" t="s">
        <v>8</v>
      </c>
      <c r="D11" s="18"/>
      <c r="E11" s="69">
        <v>0.359</v>
      </c>
    </row>
    <row r="12" spans="1:5" ht="18">
      <c r="A12" s="3" t="s">
        <v>9</v>
      </c>
      <c r="D12" s="18"/>
      <c r="E12" s="35">
        <v>0.75</v>
      </c>
    </row>
    <row r="13" spans="1:5" ht="18">
      <c r="A13" s="3" t="s">
        <v>10</v>
      </c>
      <c r="B13" s="35">
        <v>59</v>
      </c>
      <c r="C13" s="9">
        <f>d_feed/25.4</f>
        <v>2.3228346456692917</v>
      </c>
      <c r="D13" s="18">
        <f>d_feed/lambda</f>
        <v>2.03904</v>
      </c>
      <c r="E13" s="53">
        <f>IF(dfeed_lam&lt;2.35*feed_fD,"Warning: feedhorn diameter too small for f/D","")</f>
      </c>
    </row>
    <row r="14" spans="1:7" ht="18">
      <c r="A14" s="3" t="s">
        <v>56</v>
      </c>
      <c r="D14" s="35">
        <v>-0.11</v>
      </c>
      <c r="G14" s="30"/>
    </row>
    <row r="15" spans="1:7" ht="18">
      <c r="A15" s="3"/>
      <c r="D15" s="35"/>
      <c r="G15" s="30"/>
    </row>
    <row r="16" spans="1:4" ht="15.75">
      <c r="A16" s="68" t="s">
        <v>70</v>
      </c>
      <c r="B16" s="12">
        <f>300/FGHz</f>
        <v>28.935185185185183</v>
      </c>
      <c r="C16" s="15">
        <f>lambda/25.4</f>
        <v>1.139180519101779</v>
      </c>
      <c r="D16" s="18">
        <v>1</v>
      </c>
    </row>
    <row r="17" spans="1:4" ht="15.75">
      <c r="A17" s="10" t="s">
        <v>16</v>
      </c>
      <c r="B17" s="14">
        <f>F*lambda</f>
        <v>875.242</v>
      </c>
      <c r="C17" s="14">
        <f>B17/25.4</f>
        <v>34.458346456692915</v>
      </c>
      <c r="D17" s="17">
        <f>D10*Dish_fD</f>
        <v>30.24836352</v>
      </c>
    </row>
    <row r="18" spans="1:8" ht="15">
      <c r="A18" s="10" t="s">
        <v>17</v>
      </c>
      <c r="E18" s="32">
        <f>phi*180/pi</f>
        <v>69.70507273336686</v>
      </c>
      <c r="F18" t="s">
        <v>30</v>
      </c>
      <c r="G18" s="51">
        <f>2*ATAN2(4*F,D_lamb)</f>
        <v>1.2165830245393752</v>
      </c>
      <c r="H18" t="s">
        <v>42</v>
      </c>
    </row>
    <row r="19" spans="1:8" ht="15">
      <c r="A19" s="23" t="s">
        <v>18</v>
      </c>
      <c r="E19" s="32">
        <f>psi*180/pi</f>
        <v>36.86989764584402</v>
      </c>
      <c r="F19" t="s">
        <v>30</v>
      </c>
      <c r="G19" s="51">
        <f>2*ATAN2(4*feed_fD,1)</f>
        <v>0.6435011087932844</v>
      </c>
      <c r="H19" t="s">
        <v>42</v>
      </c>
    </row>
    <row r="20" spans="1:4" ht="15">
      <c r="A20" s="23" t="s">
        <v>66</v>
      </c>
      <c r="B20" s="14">
        <f>R_edge*lambda</f>
        <v>1299.6848969359332</v>
      </c>
      <c r="C20" s="14">
        <f>B20/25.4</f>
        <v>51.16869672976115</v>
      </c>
      <c r="D20" s="14">
        <f>2*F/(1+COS(phi))</f>
        <v>44.917110038105854</v>
      </c>
    </row>
    <row r="21" spans="1:6" ht="15">
      <c r="A21" s="23" t="s">
        <v>68</v>
      </c>
      <c r="E21" s="66">
        <f>20*LOG(R_edge/F)</f>
        <v>3.434198447235956</v>
      </c>
      <c r="F21" s="23" t="s">
        <v>13</v>
      </c>
    </row>
    <row r="22" spans="1:6" ht="15">
      <c r="A22" s="23" t="s">
        <v>69</v>
      </c>
      <c r="E22" s="66">
        <f>20*LOG(2/(1+COS(psi)))</f>
        <v>0.9151498112135028</v>
      </c>
      <c r="F22" t="s">
        <v>13</v>
      </c>
    </row>
    <row r="23" ht="18">
      <c r="A23" s="19" t="s">
        <v>14</v>
      </c>
    </row>
    <row r="24" spans="2:6" ht="15.75">
      <c r="B24" s="23"/>
      <c r="D24" s="22" t="s">
        <v>12</v>
      </c>
      <c r="E24" s="31">
        <f>IF(D_lamb&lt;=500,0.72*(LOG(D_lamb))^2-4.16*LOG(D_lamb)+17.7,11.717-SQRT(LOG(D_lamb))+1.64285)</f>
        <v>12.359207145759882</v>
      </c>
      <c r="F24" s="23" t="s">
        <v>13</v>
      </c>
    </row>
    <row r="25" spans="4:6" ht="18">
      <c r="D25" s="21" t="s">
        <v>15</v>
      </c>
      <c r="E25" s="35">
        <v>12.36</v>
      </c>
      <c r="F25" t="s">
        <v>13</v>
      </c>
    </row>
    <row r="26" ht="15">
      <c r="A26" s="10"/>
    </row>
    <row r="27" ht="15.75">
      <c r="A27" s="25" t="s">
        <v>24</v>
      </c>
    </row>
    <row r="28" spans="1:8" ht="15">
      <c r="A28" s="24" t="s">
        <v>18</v>
      </c>
      <c r="E28" s="13">
        <f>psi_taper*180/pi</f>
        <v>36.545731604625935</v>
      </c>
      <c r="F28" t="s">
        <v>30</v>
      </c>
      <c r="G28" s="51">
        <f>psi*SQRT((taper-Space_att)/(10-FSA))</f>
        <v>0.6378433440508731</v>
      </c>
      <c r="H28" t="s">
        <v>42</v>
      </c>
    </row>
    <row r="29" spans="1:5" ht="15">
      <c r="A29" s="5" t="s">
        <v>19</v>
      </c>
      <c r="E29" s="16">
        <f>1/(4*TAN(psi_taper/2))</f>
        <v>0.757132758156255</v>
      </c>
    </row>
    <row r="31" spans="1:4" ht="15.75">
      <c r="A31" s="23" t="s">
        <v>20</v>
      </c>
      <c r="B31" s="14">
        <f>dsub_min*lambda</f>
        <v>200.73274344086332</v>
      </c>
      <c r="C31" s="9">
        <f>B31/25.4</f>
        <v>7.90286391499462</v>
      </c>
      <c r="D31" s="33">
        <f>D_lamb*doverD</f>
        <v>6.937323613316237</v>
      </c>
    </row>
    <row r="32" spans="1:4" ht="15.75">
      <c r="A32" s="23" t="s">
        <v>21</v>
      </c>
      <c r="B32" s="14">
        <f>fsub_min*lambda</f>
        <v>172.52774145296613</v>
      </c>
      <c r="C32" s="9">
        <f>B32/25.4</f>
        <v>6.792430765864808</v>
      </c>
      <c r="D32" s="33">
        <f>0.5*dsub_min*(1/TAN(phi)+1/TAN(psi_taper))</f>
        <v>5.96255874461451</v>
      </c>
    </row>
    <row r="33" spans="1:4" ht="15.75">
      <c r="A33" s="23" t="s">
        <v>22</v>
      </c>
      <c r="D33" s="33">
        <f>fsub_min/dsub_min</f>
        <v>0.8594897797717466</v>
      </c>
    </row>
    <row r="34" spans="1:5" ht="15.75">
      <c r="A34" s="24" t="s">
        <v>53</v>
      </c>
      <c r="D34" s="34"/>
      <c r="E34" s="36">
        <f>dsub_min/D_lamb</f>
        <v>0.08233500551306945</v>
      </c>
    </row>
    <row r="35" spans="4:5" ht="15.75">
      <c r="D35" s="24" t="s">
        <v>23</v>
      </c>
      <c r="E35" s="38">
        <f>(1-(Cb*(1+4*SQRT(1-dsub_min/D_lamb)))*(dsub_min/D_lamb)^2)^2</f>
        <v>0.8809524497115899</v>
      </c>
    </row>
    <row r="36" spans="1:8" ht="15">
      <c r="A36" s="23" t="s">
        <v>52</v>
      </c>
      <c r="E36" s="37">
        <f>alpha*180/pi</f>
        <v>9.881805424125279</v>
      </c>
      <c r="F36" t="s">
        <v>30</v>
      </c>
      <c r="G36" s="51">
        <f>ATAN2(2*(fsub_min+PC),dfeed_lam)</f>
        <v>0.1724700406924208</v>
      </c>
      <c r="H36" t="s">
        <v>42</v>
      </c>
    </row>
    <row r="37" spans="1:8" ht="15">
      <c r="A37" s="23"/>
      <c r="D37" s="54">
        <f>IF(dfeed_lam&lt;2.35*feed_fD,"Estimated Minimum feedhorn blockage angle","")</f>
      </c>
      <c r="E37" s="32">
        <f>IF(dfeed_lam&lt;2.35*feed_fD,alpha_min*180/pi,"")</f>
      </c>
      <c r="F37" s="52">
        <f>IF(dfeed_lam&lt;2.35*feed_fD,"degrees","")</f>
      </c>
      <c r="G37" s="51">
        <f>IF(dfeed_lam&lt;2.35*feed_fD,ATAN2(2*(fsub_min+PC),(2.35*feed_fD)),"")</f>
      </c>
      <c r="H37" s="52">
        <f>IF(dfeed_lam&lt;2.35*feed_fD,"radians","")</f>
      </c>
    </row>
    <row r="38" spans="1:4" ht="15.75">
      <c r="A38" s="25" t="s">
        <v>54</v>
      </c>
      <c r="D38" s="33"/>
    </row>
    <row r="39" spans="1:5" ht="15.75">
      <c r="A39" s="24" t="s">
        <v>20</v>
      </c>
      <c r="B39" s="14">
        <f>dsub_NB*lambda</f>
        <v>245.11490590514305</v>
      </c>
      <c r="C39" s="9">
        <f>B39/25.4</f>
        <v>9.650193145871775</v>
      </c>
      <c r="D39" s="33">
        <f>SQRT(dfeed_lam*F/hyper_fD)</f>
        <v>8.471171148081744</v>
      </c>
      <c r="E39" s="55">
        <f>IF(dfeed_lam&lt;2.35*feed_fD,"Using estimated minimum feedhorn","")</f>
      </c>
    </row>
    <row r="40" spans="1:4" ht="15.75">
      <c r="A40" s="24" t="s">
        <v>21</v>
      </c>
      <c r="B40" s="14">
        <f>fsub_NB*lambda</f>
        <v>210.67375649518377</v>
      </c>
      <c r="C40" s="9">
        <f>B40/25.4</f>
        <v>8.29424238170015</v>
      </c>
      <c r="D40" s="33">
        <f>dsub_NB*hyper_fD</f>
        <v>7.280885024473552</v>
      </c>
    </row>
    <row r="41" spans="1:5" ht="15.75">
      <c r="A41" s="24" t="s">
        <v>53</v>
      </c>
      <c r="D41" s="34"/>
      <c r="E41" s="36">
        <f>dsub_NB/D_lamb</f>
        <v>0.10053933794304472</v>
      </c>
    </row>
    <row r="42" spans="4:5" ht="15.75">
      <c r="D42" s="24" t="s">
        <v>49</v>
      </c>
      <c r="E42" s="39">
        <f>(1-(Cb*(1+4*SQRT(1-dNB_ratio)))*dNB_ratio^2)^2</f>
        <v>0.8265668453232674</v>
      </c>
    </row>
    <row r="43" spans="1:8" ht="15">
      <c r="A43" s="24" t="s">
        <v>52</v>
      </c>
      <c r="E43" s="37">
        <f>alpha_NB*180/pi</f>
        <v>8.091791943519576</v>
      </c>
      <c r="F43" t="s">
        <v>30</v>
      </c>
      <c r="G43" s="51">
        <f>ATAN2(2*(fsub_NB+PC),dfeed_lam)</f>
        <v>0.14122841180076764</v>
      </c>
      <c r="H43" t="s">
        <v>42</v>
      </c>
    </row>
    <row r="45" ht="18">
      <c r="A45" s="19" t="s">
        <v>14</v>
      </c>
    </row>
    <row r="46" spans="3:5" ht="18">
      <c r="C46" s="21" t="s">
        <v>25</v>
      </c>
      <c r="D46" s="35">
        <v>14.3</v>
      </c>
      <c r="E46" s="20" t="s">
        <v>26</v>
      </c>
    </row>
    <row r="47" ht="18.75">
      <c r="B47" s="27" t="s">
        <v>28</v>
      </c>
    </row>
    <row r="49" ht="15.75">
      <c r="A49" s="25" t="s">
        <v>27</v>
      </c>
    </row>
    <row r="50" spans="1:5" ht="15.75">
      <c r="A50" s="24" t="s">
        <v>21</v>
      </c>
      <c r="B50" s="14">
        <f>fsub*lambda</f>
        <v>355.6337919773141</v>
      </c>
      <c r="C50" s="9">
        <f>B50/25.4</f>
        <v>14.001330392807642</v>
      </c>
      <c r="D50" s="33">
        <f>dsub*hyper_fD</f>
        <v>12.290703850735976</v>
      </c>
      <c r="E50" s="30"/>
    </row>
    <row r="51" spans="1:5" ht="15.75">
      <c r="A51" s="24" t="s">
        <v>53</v>
      </c>
      <c r="B51" s="30"/>
      <c r="C51" s="30"/>
      <c r="D51" s="33"/>
      <c r="E51" s="36">
        <f>dsub/D_lamb</f>
        <v>0.1697182724151551</v>
      </c>
    </row>
    <row r="52" spans="4:6" ht="18">
      <c r="D52" s="24" t="s">
        <v>71</v>
      </c>
      <c r="E52" s="39">
        <f>IF(dsub&gt;dsub_NB,eff_max*((1-2*d_ratio^2)^2)/(1-2*dsmin_ratio^2)^2,E42)</f>
        <v>0.8040297051803346</v>
      </c>
      <c r="F52" s="50">
        <f>IF(d_ratio&gt;0.4,"WARNING: approximations failing","")</f>
      </c>
    </row>
    <row r="53" spans="4:6" ht="20.25">
      <c r="D53" s="44" t="s">
        <v>55</v>
      </c>
      <c r="E53" s="49">
        <f>10*LOG(eff)</f>
        <v>-0.9472790578191201</v>
      </c>
      <c r="F53" s="45" t="s">
        <v>13</v>
      </c>
    </row>
    <row r="54" spans="1:6" s="48" customFormat="1" ht="12.75">
      <c r="A54" s="29"/>
      <c r="B54" s="29"/>
      <c r="C54" s="29"/>
      <c r="D54" s="46"/>
      <c r="E54" s="58"/>
      <c r="F54" s="47"/>
    </row>
    <row r="55" spans="1:6" s="48" customFormat="1" ht="18">
      <c r="A55" s="59"/>
      <c r="B55" s="60"/>
      <c r="C55" s="60"/>
      <c r="D55" s="61"/>
      <c r="E55" s="65" t="s">
        <v>65</v>
      </c>
      <c r="F55" s="63">
        <f>adj_feed_fD</f>
        <v>0.757132758156255</v>
      </c>
    </row>
    <row r="56" spans="1:6" s="48" customFormat="1" ht="18">
      <c r="A56" s="59"/>
      <c r="B56" s="60"/>
      <c r="C56" s="60"/>
      <c r="D56" s="62"/>
      <c r="E56" s="65" t="s">
        <v>64</v>
      </c>
      <c r="F56" s="64">
        <f>eff</f>
        <v>0.8040297051803346</v>
      </c>
    </row>
    <row r="58" ht="18">
      <c r="A58" s="11" t="s">
        <v>29</v>
      </c>
    </row>
    <row r="60" spans="1:8" ht="15">
      <c r="A60" s="23" t="s">
        <v>52</v>
      </c>
      <c r="E60" s="32">
        <f>G60*180/pi</f>
        <v>4.741857403533189</v>
      </c>
      <c r="F60" t="s">
        <v>30</v>
      </c>
      <c r="G60" s="51">
        <f>ATAN2(2*fsub,dfeed_lam)</f>
        <v>0.08276102435172354</v>
      </c>
      <c r="H60" t="s">
        <v>42</v>
      </c>
    </row>
    <row r="61" spans="1:5" ht="15">
      <c r="A61" s="23" t="s">
        <v>31</v>
      </c>
      <c r="B61" s="23"/>
      <c r="C61" s="23"/>
      <c r="D61" s="23"/>
      <c r="E61" s="36">
        <f>adj_feed_fD/Dish_fD</f>
        <v>2.109004897371184</v>
      </c>
    </row>
    <row r="62" spans="1:5" ht="15">
      <c r="A62" s="23" t="s">
        <v>32</v>
      </c>
      <c r="B62" s="23"/>
      <c r="C62" s="23"/>
      <c r="D62" s="23"/>
      <c r="E62" s="36">
        <f>(Mhyper+1)/(Mhyper-1)</f>
        <v>2.8034185464291954</v>
      </c>
    </row>
    <row r="63" spans="1:5" ht="15.75">
      <c r="A63" s="23" t="s">
        <v>33</v>
      </c>
      <c r="B63" s="17">
        <f>a_hyper*lambda</f>
        <v>63.42859371289676</v>
      </c>
      <c r="C63" s="41">
        <f>B63/25.4</f>
        <v>2.4971887288542036</v>
      </c>
      <c r="D63" s="36">
        <f>c_hyper/eccentricity</f>
        <v>2.192092198717712</v>
      </c>
      <c r="E63" s="23"/>
    </row>
    <row r="64" spans="1:5" ht="15.75">
      <c r="A64" s="23" t="s">
        <v>34</v>
      </c>
      <c r="B64" s="17">
        <f>b_hyper*lambda</f>
        <v>166.1194208954665</v>
      </c>
      <c r="C64" s="41">
        <f>B64/25.4</f>
        <v>6.540134680923878</v>
      </c>
      <c r="D64" s="36">
        <f>SQRT(c_hyper^2-a_hyper^2)</f>
        <v>5.741087186147323</v>
      </c>
      <c r="E64" s="23"/>
    </row>
    <row r="65" spans="1:5" ht="15.75">
      <c r="A65" s="23" t="s">
        <v>35</v>
      </c>
      <c r="B65" s="17">
        <f>c_hyper*lambda</f>
        <v>177.81689598865705</v>
      </c>
      <c r="C65" s="41">
        <f>B65/25.4</f>
        <v>7.000665196403821</v>
      </c>
      <c r="D65" s="36">
        <f>fsub/2</f>
        <v>6.145351925367988</v>
      </c>
      <c r="E65" s="23"/>
    </row>
    <row r="67" ht="18">
      <c r="A67" s="11" t="s">
        <v>61</v>
      </c>
    </row>
    <row r="68" spans="1:4" ht="15.75">
      <c r="A68" s="23" t="s">
        <v>62</v>
      </c>
      <c r="B68" s="17">
        <f>D68*lambda</f>
        <v>114.3883022757603</v>
      </c>
      <c r="C68" s="41">
        <f>B68/25.4</f>
        <v>4.503476467549619</v>
      </c>
      <c r="D68" s="36">
        <f>fsub/2-a_hyper</f>
        <v>3.953259726650276</v>
      </c>
    </row>
    <row r="69" spans="1:5" ht="15.75">
      <c r="A69" s="23" t="s">
        <v>63</v>
      </c>
      <c r="B69" s="17">
        <f>D69*lambda</f>
        <v>241.2454897015538</v>
      </c>
      <c r="C69" s="41">
        <f>B69/25.4</f>
        <v>9.497853925258024</v>
      </c>
      <c r="D69" s="36">
        <f>fsub/2+a_hyper</f>
        <v>8.3374441240857</v>
      </c>
      <c r="E69" s="53">
        <f>IF(D69&lt;2*dfeed_lam^2,"Warning: closer than feed Rayleigh distance","")</f>
      </c>
    </row>
    <row r="70" spans="1:4" ht="15.75">
      <c r="A70" s="23"/>
      <c r="B70" s="17"/>
      <c r="C70" s="67" t="s">
        <v>67</v>
      </c>
      <c r="D70" s="31">
        <f>2*dfeed_lam^2</f>
        <v>8.3153682432</v>
      </c>
    </row>
    <row r="72" ht="18">
      <c r="A72" s="11" t="s">
        <v>57</v>
      </c>
    </row>
    <row r="73" ht="12.75">
      <c r="E73" s="28"/>
    </row>
    <row r="74" spans="1:5" ht="12.75">
      <c r="A74" s="29" t="s">
        <v>50</v>
      </c>
      <c r="E74" s="28"/>
    </row>
    <row r="75" spans="1:5" ht="12.75">
      <c r="A75" s="29" t="s">
        <v>51</v>
      </c>
      <c r="B75" s="29">
        <f>IF(D_lamb&lt;=500,0.72*(LOG(D_lamb))^2-4.16*LOG(D_lamb)+17.7,11.717-SQRT(LOG(D_lamb))+1.64285)</f>
        <v>12.359207145759882</v>
      </c>
      <c r="E75" s="28"/>
    </row>
    <row r="78" ht="12.75">
      <c r="A78" t="s">
        <v>41</v>
      </c>
    </row>
    <row r="79" spans="1:2" ht="12.75">
      <c r="A79" t="s">
        <v>40</v>
      </c>
      <c r="B79">
        <f>10^(-taper/10)</f>
        <v>0.058076441752131176</v>
      </c>
    </row>
    <row r="80" spans="1:2" ht="12.75">
      <c r="A80" t="s">
        <v>36</v>
      </c>
      <c r="B80">
        <f>1/(4*pi)^2</f>
        <v>0.006332573977646111</v>
      </c>
    </row>
    <row r="81" spans="1:2" ht="12.75">
      <c r="A81" t="s">
        <v>37</v>
      </c>
      <c r="B81">
        <f>(COS(psi_taper/2)^4)/(SIN(phi))</f>
        <v>0.8668615852316576</v>
      </c>
    </row>
    <row r="82" spans="1:2" ht="12.75">
      <c r="A82" t="s">
        <v>38</v>
      </c>
      <c r="B82">
        <f>E/D_lamb</f>
        <v>0.000689275060293083</v>
      </c>
    </row>
    <row r="83" spans="1:2" ht="12.75">
      <c r="A83" t="s">
        <v>39</v>
      </c>
      <c r="B83">
        <f>(term1*term2*term3)^0.2</f>
        <v>0.08233500551306945</v>
      </c>
    </row>
    <row r="85" ht="12.75">
      <c r="A85" t="s">
        <v>43</v>
      </c>
    </row>
    <row r="86" spans="1:2" ht="12.75">
      <c r="A86" t="s">
        <v>48</v>
      </c>
      <c r="B86">
        <f>dsub_min/D_lamb</f>
        <v>0.08233500551306945</v>
      </c>
    </row>
    <row r="87" spans="1:2" ht="12.75">
      <c r="A87" t="s">
        <v>44</v>
      </c>
      <c r="B87">
        <f>-2.302585*LOG(SQRT(E))/(1-SQRT(E))</f>
        <v>1.874808695241016</v>
      </c>
    </row>
    <row r="88" spans="1:2" ht="12.75">
      <c r="A88" t="s">
        <v>45</v>
      </c>
      <c r="B88">
        <f>Cb*(1+4*SQRT(1-ds_ratio))</f>
        <v>9.058688096817995</v>
      </c>
    </row>
    <row r="89" spans="1:2" ht="12.75">
      <c r="A89" t="s">
        <v>46</v>
      </c>
      <c r="B89">
        <f>(1-term4*ds_ratio^2)^2</f>
        <v>0.8809524497115899</v>
      </c>
    </row>
    <row r="91" spans="1:2" ht="12.75">
      <c r="A91" t="s">
        <v>47</v>
      </c>
      <c r="B91">
        <f>(1-(Cb*(1+4*SQRT(1-ds_ratio)))*ds_ratio^2)^2</f>
        <v>0.8809524497115899</v>
      </c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 Computer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pwade</dc:creator>
  <cp:keywords/>
  <dc:description/>
  <cp:lastModifiedBy>p</cp:lastModifiedBy>
  <cp:lastPrinted>2004-04-29T03:13:46Z</cp:lastPrinted>
  <dcterms:created xsi:type="dcterms:W3CDTF">2004-03-10T20:44:09Z</dcterms:created>
  <dcterms:modified xsi:type="dcterms:W3CDTF">2004-05-07T02:45:12Z</dcterms:modified>
  <cp:category/>
  <cp:version/>
  <cp:contentType/>
  <cp:contentStatus/>
</cp:coreProperties>
</file>